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ASUS\Desktop\Excel_ouyou\02実践問題\パターン１２\解答\"/>
    </mc:Choice>
  </mc:AlternateContent>
  <xr:revisionPtr revIDLastSave="0" documentId="13_ncr:1_{D57F1D49-22AC-4A77-9BE0-C5CF0DB7ABD4}" xr6:coauthVersionLast="47" xr6:coauthVersionMax="47" xr10:uidLastSave="{00000000-0000-0000-0000-000000000000}"/>
  <bookViews>
    <workbookView xWindow="-120" yWindow="-120" windowWidth="29040" windowHeight="15840" xr2:uid="{7AE33726-7C2E-4B08-8CC7-2622667A6271}"/>
  </bookViews>
  <sheets>
    <sheet name="とりまとめ表" sheetId="4" r:id="rId1"/>
    <sheet name="リスト一覧" sheetId="2" r:id="rId2"/>
  </sheets>
  <definedNames>
    <definedName name="ランク">リスト一覧!$B$5:$D$8</definedName>
    <definedName name="予約">リスト一覧!$G$4:$I$5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4" l="1"/>
  <c r="N23" i="4"/>
  <c r="N21" i="4"/>
  <c r="M21" i="4"/>
  <c r="M22" i="4"/>
  <c r="M23" i="4"/>
  <c r="L21" i="4"/>
  <c r="L22" i="4"/>
  <c r="L23" i="4"/>
  <c r="L15" i="4"/>
  <c r="L16" i="4"/>
  <c r="L14" i="4"/>
  <c r="M8" i="4"/>
  <c r="M9" i="4"/>
  <c r="M10" i="4"/>
  <c r="M7" i="4"/>
  <c r="L8" i="4"/>
  <c r="L9" i="4"/>
  <c r="L10" i="4"/>
  <c r="L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7" i="4"/>
  <c r="D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</calcChain>
</file>

<file path=xl/sharedStrings.xml><?xml version="1.0" encoding="utf-8"?>
<sst xmlns="http://schemas.openxmlformats.org/spreadsheetml/2006/main" count="84" uniqueCount="71">
  <si>
    <t>受付CD</t>
    <rPh sb="0" eb="2">
      <t>ウケツケ</t>
    </rPh>
    <phoneticPr fontId="2"/>
  </si>
  <si>
    <t>X</t>
    <phoneticPr fontId="2"/>
  </si>
  <si>
    <t>Z</t>
    <phoneticPr fontId="2"/>
  </si>
  <si>
    <t>りんくホテル　利用状況</t>
    <rPh sb="7" eb="9">
      <t>リヨウ</t>
    </rPh>
    <rPh sb="9" eb="11">
      <t>ジョウキョウ</t>
    </rPh>
    <phoneticPr fontId="2"/>
  </si>
  <si>
    <t>管理コード</t>
    <rPh sb="0" eb="2">
      <t>カンリ</t>
    </rPh>
    <phoneticPr fontId="2"/>
  </si>
  <si>
    <t>予約方法</t>
    <rPh sb="0" eb="2">
      <t>ヨヤク</t>
    </rPh>
    <rPh sb="2" eb="4">
      <t>ホウホウ</t>
    </rPh>
    <phoneticPr fontId="2"/>
  </si>
  <si>
    <t>宿泊数</t>
    <rPh sb="0" eb="2">
      <t>シュクハク</t>
    </rPh>
    <rPh sb="2" eb="3">
      <t>スウ</t>
    </rPh>
    <phoneticPr fontId="2"/>
  </si>
  <si>
    <t>A</t>
    <phoneticPr fontId="2"/>
  </si>
  <si>
    <t>B</t>
    <phoneticPr fontId="2"/>
  </si>
  <si>
    <t>C</t>
    <phoneticPr fontId="2"/>
  </si>
  <si>
    <t>HP</t>
    <phoneticPr fontId="2"/>
  </si>
  <si>
    <t>旅行サイト</t>
    <rPh sb="0" eb="2">
      <t>リョコウ</t>
    </rPh>
    <phoneticPr fontId="2"/>
  </si>
  <si>
    <t>電話予約</t>
    <rPh sb="0" eb="2">
      <t>デンワ</t>
    </rPh>
    <rPh sb="2" eb="4">
      <t>ヨヤク</t>
    </rPh>
    <phoneticPr fontId="2"/>
  </si>
  <si>
    <t>プラチナ</t>
    <phoneticPr fontId="2"/>
  </si>
  <si>
    <t>ゴールド</t>
    <phoneticPr fontId="2"/>
  </si>
  <si>
    <t>シルバー</t>
    <phoneticPr fontId="2"/>
  </si>
  <si>
    <t>一般</t>
    <rPh sb="0" eb="2">
      <t>イッパン</t>
    </rPh>
    <phoneticPr fontId="2"/>
  </si>
  <si>
    <t>ランクコード</t>
    <phoneticPr fontId="2"/>
  </si>
  <si>
    <t>ランク</t>
    <phoneticPr fontId="2"/>
  </si>
  <si>
    <t>S</t>
    <phoneticPr fontId="2"/>
  </si>
  <si>
    <t>Y</t>
    <phoneticPr fontId="2"/>
  </si>
  <si>
    <t>S-XI-1</t>
    <phoneticPr fontId="1"/>
  </si>
  <si>
    <t>S-ZL-3</t>
    <phoneticPr fontId="1"/>
  </si>
  <si>
    <t>A-YJ-2</t>
    <phoneticPr fontId="1"/>
  </si>
  <si>
    <t>B-XJ-1</t>
    <phoneticPr fontId="1"/>
  </si>
  <si>
    <t>C-XK-4</t>
    <phoneticPr fontId="1"/>
  </si>
  <si>
    <t>B-XH-3</t>
    <phoneticPr fontId="1"/>
  </si>
  <si>
    <t>A-ZL-2</t>
    <phoneticPr fontId="1"/>
  </si>
  <si>
    <t>B-YZ-1</t>
    <phoneticPr fontId="1"/>
  </si>
  <si>
    <t>S-ZX-1</t>
    <phoneticPr fontId="1"/>
  </si>
  <si>
    <t>C-XK-1</t>
    <phoneticPr fontId="1"/>
  </si>
  <si>
    <t>B-XK-1</t>
    <phoneticPr fontId="1"/>
  </si>
  <si>
    <t>A-ZH-2</t>
    <phoneticPr fontId="1"/>
  </si>
  <si>
    <t>B-YI-1</t>
    <phoneticPr fontId="1"/>
  </si>
  <si>
    <t>C-YH-1</t>
    <phoneticPr fontId="1"/>
  </si>
  <si>
    <t>A-ZK-2</t>
    <phoneticPr fontId="1"/>
  </si>
  <si>
    <t>C-XJ-2</t>
    <phoneticPr fontId="1"/>
  </si>
  <si>
    <t>A-YI-1</t>
    <phoneticPr fontId="1"/>
  </si>
  <si>
    <t>B-ZK-2</t>
    <phoneticPr fontId="1"/>
  </si>
  <si>
    <t>S-YI-1</t>
    <phoneticPr fontId="1"/>
  </si>
  <si>
    <t>A-XH-2</t>
    <phoneticPr fontId="1"/>
  </si>
  <si>
    <t>A-YH-2</t>
    <phoneticPr fontId="1"/>
  </si>
  <si>
    <t>C-ZI-1</t>
    <phoneticPr fontId="1"/>
  </si>
  <si>
    <t>B-YH-2</t>
    <phoneticPr fontId="1"/>
  </si>
  <si>
    <t>A-ZH-1</t>
    <phoneticPr fontId="1"/>
  </si>
  <si>
    <t>S-YI-3</t>
    <phoneticPr fontId="1"/>
  </si>
  <si>
    <t>1泊料金</t>
    <rPh sb="1" eb="2">
      <t>ハク</t>
    </rPh>
    <rPh sb="2" eb="4">
      <t>リョウキン</t>
    </rPh>
    <phoneticPr fontId="1"/>
  </si>
  <si>
    <t>宿泊料金</t>
    <rPh sb="0" eb="2">
      <t>シュクハク</t>
    </rPh>
    <rPh sb="2" eb="4">
      <t>リョウキン</t>
    </rPh>
    <phoneticPr fontId="2"/>
  </si>
  <si>
    <t>クーポン券配布</t>
    <rPh sb="4" eb="5">
      <t>ケン</t>
    </rPh>
    <rPh sb="5" eb="7">
      <t>ハイフ</t>
    </rPh>
    <phoneticPr fontId="2"/>
  </si>
  <si>
    <t>プラチナ</t>
    <phoneticPr fontId="1"/>
  </si>
  <si>
    <t>ゴールド</t>
    <phoneticPr fontId="1"/>
  </si>
  <si>
    <t>シルバー</t>
    <phoneticPr fontId="1"/>
  </si>
  <si>
    <t>一般</t>
    <rPh sb="0" eb="2">
      <t>イッパン</t>
    </rPh>
    <phoneticPr fontId="1"/>
  </si>
  <si>
    <t>ランク別売上分析</t>
    <rPh sb="3" eb="4">
      <t>ベツ</t>
    </rPh>
    <rPh sb="4" eb="6">
      <t>ウリアゲ</t>
    </rPh>
    <rPh sb="6" eb="8">
      <t>ブンセキ</t>
    </rPh>
    <phoneticPr fontId="1"/>
  </si>
  <si>
    <t>予約方法集計</t>
    <rPh sb="0" eb="2">
      <t>ヨヤク</t>
    </rPh>
    <rPh sb="2" eb="4">
      <t>ホウホウ</t>
    </rPh>
    <rPh sb="4" eb="6">
      <t>シュウケイ</t>
    </rPh>
    <phoneticPr fontId="1"/>
  </si>
  <si>
    <t>HP</t>
    <phoneticPr fontId="1"/>
  </si>
  <si>
    <t>旅行サイト</t>
    <rPh sb="0" eb="2">
      <t>リョコウ</t>
    </rPh>
    <phoneticPr fontId="1"/>
  </si>
  <si>
    <t>電話予約</t>
    <rPh sb="0" eb="2">
      <t>デンワ</t>
    </rPh>
    <rPh sb="2" eb="4">
      <t>ヨヤク</t>
    </rPh>
    <phoneticPr fontId="1"/>
  </si>
  <si>
    <t>ランク一覧</t>
    <rPh sb="3" eb="5">
      <t>イチラン</t>
    </rPh>
    <phoneticPr fontId="2"/>
  </si>
  <si>
    <t>予約コード</t>
    <rPh sb="0" eb="2">
      <t>ヨヤク</t>
    </rPh>
    <phoneticPr fontId="2"/>
  </si>
  <si>
    <t>種類</t>
    <rPh sb="0" eb="2">
      <t>シュルイ</t>
    </rPh>
    <phoneticPr fontId="2"/>
  </si>
  <si>
    <t>予約一覧</t>
    <rPh sb="0" eb="2">
      <t>ヨヤク</t>
    </rPh>
    <rPh sb="2" eb="4">
      <t>イチラン</t>
    </rPh>
    <phoneticPr fontId="2"/>
  </si>
  <si>
    <t>チェックイン</t>
    <phoneticPr fontId="2"/>
  </si>
  <si>
    <t>宿泊数平均</t>
    <rPh sb="0" eb="2">
      <t>シュクハク</t>
    </rPh>
    <rPh sb="2" eb="3">
      <t>スウ</t>
    </rPh>
    <rPh sb="3" eb="5">
      <t>ヘイキン</t>
    </rPh>
    <phoneticPr fontId="2"/>
  </si>
  <si>
    <t>件数</t>
    <rPh sb="0" eb="2">
      <t>ケンスウ</t>
    </rPh>
    <phoneticPr fontId="2"/>
  </si>
  <si>
    <t>宿泊料金が多い順</t>
    <rPh sb="0" eb="2">
      <t>シュクハク</t>
    </rPh>
    <rPh sb="2" eb="4">
      <t>リョウキン</t>
    </rPh>
    <rPh sb="5" eb="6">
      <t>オオ</t>
    </rPh>
    <rPh sb="7" eb="8">
      <t>ジュン</t>
    </rPh>
    <phoneticPr fontId="1"/>
  </si>
  <si>
    <t>宿泊料金合計</t>
    <rPh sb="0" eb="2">
      <t>シュクハク</t>
    </rPh>
    <rPh sb="2" eb="4">
      <t>リョウキン</t>
    </rPh>
    <rPh sb="4" eb="6">
      <t>ゴウケイ</t>
    </rPh>
    <phoneticPr fontId="2"/>
  </si>
  <si>
    <t>B-YK-2</t>
    <phoneticPr fontId="1"/>
  </si>
  <si>
    <t>C-XK-3</t>
    <phoneticPr fontId="1"/>
  </si>
  <si>
    <t>０００－００－０００００</t>
    <phoneticPr fontId="1"/>
  </si>
  <si>
    <t>みほんはなこ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</si>
</sst>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0&quot;件&quot;"/>
  </numFmts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4" borderId="1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14" fontId="5" fillId="0" borderId="1" xfId="0" applyNumberFormat="1" applyFont="1" applyBorder="1">
      <alignment vertical="center"/>
    </xf>
    <xf numFmtId="176" fontId="0" fillId="0" borderId="1" xfId="0" applyNumberFormat="1" applyBorder="1">
      <alignment vertical="center"/>
    </xf>
    <xf numFmtId="2" fontId="0" fillId="0" borderId="1" xfId="0" applyNumberFormat="1" applyBorder="1">
      <alignment vertical="center"/>
    </xf>
    <xf numFmtId="3" fontId="0" fillId="0" borderId="1" xfId="0" applyNumberFormat="1" applyBorder="1">
      <alignment vertical="center"/>
    </xf>
    <xf numFmtId="0" fontId="4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177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22D06-8E9A-494B-AF2E-0492E9EFC7BA}">
  <sheetPr>
    <pageSetUpPr fitToPage="1"/>
  </sheetPr>
  <dimension ref="A1:P40"/>
  <sheetViews>
    <sheetView tabSelected="1" topLeftCell="A6" zoomScale="115" zoomScaleNormal="115" workbookViewId="0">
      <selection activeCell="K25" sqref="K25"/>
    </sheetView>
  </sheetViews>
  <sheetFormatPr defaultColWidth="9.125" defaultRowHeight="13.5"/>
  <cols>
    <col min="1" max="2" width="9.125" style="3"/>
    <col min="3" max="3" width="10.625" style="3" customWidth="1"/>
    <col min="4" max="4" width="9.625" style="3" customWidth="1"/>
    <col min="5" max="6" width="12.625" style="3" customWidth="1"/>
    <col min="7" max="7" width="6.875" style="3" customWidth="1"/>
    <col min="8" max="8" width="9.625" style="3" customWidth="1"/>
    <col min="9" max="9" width="16.5" style="3" customWidth="1"/>
    <col min="10" max="10" width="5.625" style="3" customWidth="1"/>
    <col min="11" max="11" width="12.375" style="3" customWidth="1"/>
    <col min="12" max="12" width="14.5" style="3" customWidth="1"/>
    <col min="13" max="13" width="14.375" style="3" customWidth="1"/>
    <col min="14" max="14" width="9.625" style="3" customWidth="1"/>
    <col min="15" max="16384" width="9.125" style="3"/>
  </cols>
  <sheetData>
    <row r="1" spans="1:16">
      <c r="A1" s="3" t="s">
        <v>69</v>
      </c>
    </row>
    <row r="2" spans="1:16">
      <c r="A2" s="3" t="s">
        <v>70</v>
      </c>
    </row>
    <row r="3" spans="1:16" ht="13.15" customHeight="1">
      <c r="M3" s="14"/>
      <c r="N3" s="14"/>
      <c r="O3" s="14"/>
      <c r="P3" s="14"/>
    </row>
    <row r="4" spans="1:16" ht="17.25">
      <c r="B4" s="15" t="s">
        <v>3</v>
      </c>
      <c r="C4" s="15"/>
      <c r="D4" s="15"/>
      <c r="E4" s="15"/>
      <c r="F4" s="15"/>
      <c r="G4" s="15"/>
      <c r="H4" s="15"/>
      <c r="I4" s="15"/>
    </row>
    <row r="5" spans="1:16">
      <c r="K5" s="9" t="s">
        <v>53</v>
      </c>
    </row>
    <row r="6" spans="1:16">
      <c r="B6" s="4" t="s">
        <v>0</v>
      </c>
      <c r="C6" s="4" t="s">
        <v>4</v>
      </c>
      <c r="D6" s="4" t="s">
        <v>18</v>
      </c>
      <c r="E6" s="4" t="s">
        <v>5</v>
      </c>
      <c r="F6" s="4" t="s">
        <v>62</v>
      </c>
      <c r="G6" s="4" t="s">
        <v>6</v>
      </c>
      <c r="H6" s="4" t="s">
        <v>47</v>
      </c>
      <c r="I6" s="4" t="s">
        <v>48</v>
      </c>
      <c r="K6" s="4" t="s">
        <v>18</v>
      </c>
      <c r="L6" s="4" t="s">
        <v>66</v>
      </c>
      <c r="M6" s="4" t="s">
        <v>63</v>
      </c>
    </row>
    <row r="7" spans="1:16" ht="13.9" customHeight="1">
      <c r="B7" s="6">
        <v>10001</v>
      </c>
      <c r="C7" s="7" t="s">
        <v>21</v>
      </c>
      <c r="D7" s="7" t="str">
        <f>VLOOKUP(LEFT(C7,1),ランク,2,0)</f>
        <v>プラチナ</v>
      </c>
      <c r="E7" s="7" t="str">
        <f>HLOOKUP(MID(C7,3,1),予約,2,0)</f>
        <v>HP</v>
      </c>
      <c r="F7" s="10">
        <v>45231</v>
      </c>
      <c r="G7" s="7">
        <f>VALUE(RIGHT(C7,1))</f>
        <v>1</v>
      </c>
      <c r="H7" s="13">
        <f>VLOOKUP(LEFT(C7,1),ランク,3,0)*G7</f>
        <v>8000</v>
      </c>
      <c r="I7" s="6" t="str">
        <f>IF(AND(D7="プラチナ",G7&gt;=2),"ディナー券",IF(OR(D7="ゴールド",G7&gt;=3),"朝食無料",""))</f>
        <v/>
      </c>
      <c r="K7" s="2" t="s">
        <v>49</v>
      </c>
      <c r="L7" s="11">
        <f>SUMIF($D$7:$D$40,K7,$H$7:$H$40)</f>
        <v>128000</v>
      </c>
      <c r="M7" s="12">
        <f>AVERAGEIF($D$7:$D$40,K7,$G$7:$G$40)</f>
        <v>2</v>
      </c>
      <c r="N7"/>
    </row>
    <row r="8" spans="1:16" ht="13.9" customHeight="1">
      <c r="B8" s="6">
        <v>10002</v>
      </c>
      <c r="C8" s="7" t="s">
        <v>28</v>
      </c>
      <c r="D8" s="7" t="str">
        <f>VLOOKUP(LEFT(C8,1),ランク,2,0)</f>
        <v>シルバー</v>
      </c>
      <c r="E8" s="7" t="str">
        <f>HLOOKUP(MID(C8,3,1),予約,2,0)</f>
        <v>旅行サイト</v>
      </c>
      <c r="F8" s="10">
        <v>45234</v>
      </c>
      <c r="G8" s="7">
        <f t="shared" ref="G8:G40" si="0">VALUE(RIGHT(C8,1))</f>
        <v>1</v>
      </c>
      <c r="H8" s="13">
        <f>VLOOKUP(LEFT(C8,1),ランク,3,0)*G8</f>
        <v>10000</v>
      </c>
      <c r="I8" s="6" t="str">
        <f t="shared" ref="I8:I40" si="1">IF(AND(D8="プラチナ",G8&gt;=2),"ディナー券",IF(OR(D8="ゴールド",G8&gt;=3),"朝食無料",""))</f>
        <v/>
      </c>
      <c r="K8" s="2" t="s">
        <v>50</v>
      </c>
      <c r="L8" s="11">
        <f t="shared" ref="L8:L10" si="2">SUMIF($D$7:$D$40,K8,$H$7:$H$40)</f>
        <v>162000</v>
      </c>
      <c r="M8" s="12">
        <f t="shared" ref="M8:M10" si="3">AVERAGEIF($D$7:$D$40,K8,$G$7:$G$40)</f>
        <v>1.8</v>
      </c>
      <c r="N8"/>
    </row>
    <row r="9" spans="1:16" ht="13.9" customHeight="1">
      <c r="B9" s="6">
        <v>10003</v>
      </c>
      <c r="C9" s="7" t="s">
        <v>22</v>
      </c>
      <c r="D9" s="7" t="str">
        <f>VLOOKUP(LEFT(C9,1),ランク,2,0)</f>
        <v>プラチナ</v>
      </c>
      <c r="E9" s="7" t="str">
        <f>HLOOKUP(MID(C9,3,1),予約,2,0)</f>
        <v>電話予約</v>
      </c>
      <c r="F9" s="10">
        <v>45236</v>
      </c>
      <c r="G9" s="7">
        <f t="shared" si="0"/>
        <v>3</v>
      </c>
      <c r="H9" s="13">
        <f>VLOOKUP(LEFT(C9,1),ランク,3,0)*G9</f>
        <v>24000</v>
      </c>
      <c r="I9" s="6" t="str">
        <f t="shared" si="1"/>
        <v>ディナー券</v>
      </c>
      <c r="K9" s="2" t="s">
        <v>51</v>
      </c>
      <c r="L9" s="11">
        <f t="shared" si="2"/>
        <v>140000</v>
      </c>
      <c r="M9" s="12">
        <f t="shared" si="3"/>
        <v>1.5555555555555556</v>
      </c>
      <c r="N9"/>
    </row>
    <row r="10" spans="1:16" ht="13.9" customHeight="1">
      <c r="B10" s="6">
        <v>10004</v>
      </c>
      <c r="C10" s="7" t="s">
        <v>40</v>
      </c>
      <c r="D10" s="7" t="str">
        <f>VLOOKUP(LEFT(C10,1),ランク,2,0)</f>
        <v>ゴールド</v>
      </c>
      <c r="E10" s="7" t="str">
        <f>HLOOKUP(MID(C10,3,1),予約,2,0)</f>
        <v>HP</v>
      </c>
      <c r="F10" s="10">
        <v>45236</v>
      </c>
      <c r="G10" s="7">
        <f t="shared" si="0"/>
        <v>2</v>
      </c>
      <c r="H10" s="13">
        <f>VLOOKUP(LEFT(C10,1),ランク,3,0)*G10</f>
        <v>18000</v>
      </c>
      <c r="I10" s="6" t="str">
        <f t="shared" si="1"/>
        <v>朝食無料</v>
      </c>
      <c r="K10" s="2" t="s">
        <v>52</v>
      </c>
      <c r="L10" s="11">
        <f t="shared" si="2"/>
        <v>136500</v>
      </c>
      <c r="M10" s="12">
        <f t="shared" si="3"/>
        <v>1.8571428571428572</v>
      </c>
      <c r="N10"/>
    </row>
    <row r="11" spans="1:16" ht="13.9" customHeight="1">
      <c r="B11" s="6">
        <v>10005</v>
      </c>
      <c r="C11" s="7" t="s">
        <v>45</v>
      </c>
      <c r="D11" s="7" t="str">
        <f>VLOOKUP(LEFT(C11,1),ランク,2,0)</f>
        <v>プラチナ</v>
      </c>
      <c r="E11" s="7" t="str">
        <f>HLOOKUP(MID(C11,3,1),予約,2,0)</f>
        <v>旅行サイト</v>
      </c>
      <c r="F11" s="10">
        <v>45237</v>
      </c>
      <c r="G11" s="7">
        <f t="shared" si="0"/>
        <v>3</v>
      </c>
      <c r="H11" s="13">
        <f>VLOOKUP(LEFT(C11,1),ランク,3,0)*G11</f>
        <v>24000</v>
      </c>
      <c r="I11" s="6" t="str">
        <f t="shared" si="1"/>
        <v>ディナー券</v>
      </c>
      <c r="K11"/>
      <c r="L11"/>
      <c r="M11"/>
      <c r="N11"/>
    </row>
    <row r="12" spans="1:16" ht="13.9" customHeight="1">
      <c r="B12" s="6">
        <v>10006</v>
      </c>
      <c r="C12" s="7" t="s">
        <v>23</v>
      </c>
      <c r="D12" s="7" t="str">
        <f>VLOOKUP(LEFT(C12,1),ランク,2,0)</f>
        <v>ゴールド</v>
      </c>
      <c r="E12" s="7" t="str">
        <f>HLOOKUP(MID(C12,3,1),予約,2,0)</f>
        <v>旅行サイト</v>
      </c>
      <c r="F12" s="10">
        <v>45244</v>
      </c>
      <c r="G12" s="7">
        <f t="shared" si="0"/>
        <v>2</v>
      </c>
      <c r="H12" s="13">
        <f>VLOOKUP(LEFT(C12,1),ランク,3,0)*G12</f>
        <v>18000</v>
      </c>
      <c r="I12" s="6" t="str">
        <f t="shared" si="1"/>
        <v>朝食無料</v>
      </c>
      <c r="K12" s="9" t="s">
        <v>54</v>
      </c>
      <c r="L12"/>
      <c r="M12"/>
      <c r="N12"/>
    </row>
    <row r="13" spans="1:16" ht="13.9" customHeight="1">
      <c r="B13" s="6">
        <v>10007</v>
      </c>
      <c r="C13" s="7" t="s">
        <v>24</v>
      </c>
      <c r="D13" s="7" t="str">
        <f>VLOOKUP(LEFT(C13,1),ランク,2,0)</f>
        <v>シルバー</v>
      </c>
      <c r="E13" s="7" t="str">
        <f>HLOOKUP(MID(C13,3,1),予約,2,0)</f>
        <v>HP</v>
      </c>
      <c r="F13" s="10">
        <v>45244</v>
      </c>
      <c r="G13" s="7">
        <f t="shared" si="0"/>
        <v>1</v>
      </c>
      <c r="H13" s="13">
        <f>VLOOKUP(LEFT(C13,1),ランク,3,0)*G13</f>
        <v>10000</v>
      </c>
      <c r="I13" s="6" t="str">
        <f t="shared" si="1"/>
        <v/>
      </c>
      <c r="K13" s="4" t="s">
        <v>5</v>
      </c>
      <c r="L13" s="4" t="s">
        <v>64</v>
      </c>
      <c r="M13"/>
      <c r="N13"/>
    </row>
    <row r="14" spans="1:16" ht="13.9" customHeight="1">
      <c r="B14" s="6">
        <v>10008</v>
      </c>
      <c r="C14" s="7" t="s">
        <v>23</v>
      </c>
      <c r="D14" s="7" t="str">
        <f>VLOOKUP(LEFT(C14,1),ランク,2,0)</f>
        <v>ゴールド</v>
      </c>
      <c r="E14" s="7" t="str">
        <f>HLOOKUP(MID(C14,3,1),予約,2,0)</f>
        <v>旅行サイト</v>
      </c>
      <c r="F14" s="10">
        <v>45245</v>
      </c>
      <c r="G14" s="7">
        <f t="shared" si="0"/>
        <v>2</v>
      </c>
      <c r="H14" s="13">
        <f>VLOOKUP(LEFT(C14,1),ランク,3,0)*G14</f>
        <v>18000</v>
      </c>
      <c r="I14" s="6" t="str">
        <f t="shared" si="1"/>
        <v>朝食無料</v>
      </c>
      <c r="K14" s="2" t="s">
        <v>55</v>
      </c>
      <c r="L14" s="16">
        <f>COUNTIF($E$7:$E$40,K14)</f>
        <v>10</v>
      </c>
      <c r="M14"/>
      <c r="N14"/>
    </row>
    <row r="15" spans="1:16" ht="13.9" customHeight="1">
      <c r="B15" s="6">
        <v>10009</v>
      </c>
      <c r="C15" s="7" t="s">
        <v>39</v>
      </c>
      <c r="D15" s="7" t="str">
        <f>VLOOKUP(LEFT(C15,1),ランク,2,0)</f>
        <v>プラチナ</v>
      </c>
      <c r="E15" s="7" t="str">
        <f>HLOOKUP(MID(C15,3,1),予約,2,0)</f>
        <v>旅行サイト</v>
      </c>
      <c r="F15" s="10">
        <v>45250</v>
      </c>
      <c r="G15" s="7">
        <f t="shared" si="0"/>
        <v>1</v>
      </c>
      <c r="H15" s="13">
        <f>VLOOKUP(LEFT(C15,1),ランク,3,0)*G15</f>
        <v>8000</v>
      </c>
      <c r="I15" s="6" t="str">
        <f t="shared" si="1"/>
        <v/>
      </c>
      <c r="K15" s="2" t="s">
        <v>56</v>
      </c>
      <c r="L15" s="16">
        <f t="shared" ref="L15:L16" si="4">COUNTIF($E$7:$E$40,K15)</f>
        <v>13</v>
      </c>
      <c r="M15"/>
      <c r="N15"/>
    </row>
    <row r="16" spans="1:16" ht="13.9" customHeight="1">
      <c r="B16" s="6">
        <v>10010</v>
      </c>
      <c r="C16" s="7" t="s">
        <v>34</v>
      </c>
      <c r="D16" s="7" t="str">
        <f>VLOOKUP(LEFT(C16,1),ランク,2,0)</f>
        <v>一般</v>
      </c>
      <c r="E16" s="7" t="str">
        <f>HLOOKUP(MID(C16,3,1),予約,2,0)</f>
        <v>旅行サイト</v>
      </c>
      <c r="F16" s="10">
        <v>45250</v>
      </c>
      <c r="G16" s="7">
        <f t="shared" si="0"/>
        <v>1</v>
      </c>
      <c r="H16" s="13">
        <f>VLOOKUP(LEFT(C16,1),ランク,3,0)*G16</f>
        <v>10500</v>
      </c>
      <c r="I16" s="6" t="str">
        <f t="shared" si="1"/>
        <v/>
      </c>
      <c r="K16" s="2" t="s">
        <v>57</v>
      </c>
      <c r="L16" s="16">
        <f t="shared" si="4"/>
        <v>11</v>
      </c>
      <c r="M16"/>
      <c r="N16"/>
    </row>
    <row r="17" spans="2:14" ht="13.9" customHeight="1">
      <c r="B17" s="6">
        <v>10011</v>
      </c>
      <c r="C17" s="7" t="s">
        <v>29</v>
      </c>
      <c r="D17" s="7" t="str">
        <f>VLOOKUP(LEFT(C17,1),ランク,2,0)</f>
        <v>プラチナ</v>
      </c>
      <c r="E17" s="7" t="str">
        <f>HLOOKUP(MID(C17,3,1),予約,2,0)</f>
        <v>電話予約</v>
      </c>
      <c r="F17" s="10">
        <v>45258</v>
      </c>
      <c r="G17" s="7">
        <f t="shared" si="0"/>
        <v>1</v>
      </c>
      <c r="H17" s="13">
        <f>VLOOKUP(LEFT(C17,1),ランク,3,0)*G17</f>
        <v>8000</v>
      </c>
      <c r="I17" s="6" t="str">
        <f t="shared" si="1"/>
        <v/>
      </c>
      <c r="K17"/>
      <c r="L17"/>
      <c r="M17"/>
      <c r="N17"/>
    </row>
    <row r="18" spans="2:14" ht="13.9" customHeight="1">
      <c r="B18" s="6">
        <v>10012</v>
      </c>
      <c r="C18" s="7" t="s">
        <v>22</v>
      </c>
      <c r="D18" s="7" t="str">
        <f>VLOOKUP(LEFT(C18,1),ランク,2,0)</f>
        <v>プラチナ</v>
      </c>
      <c r="E18" s="7" t="str">
        <f>HLOOKUP(MID(C18,3,1),予約,2,0)</f>
        <v>電話予約</v>
      </c>
      <c r="F18" s="10">
        <v>45263</v>
      </c>
      <c r="G18" s="7">
        <f t="shared" si="0"/>
        <v>3</v>
      </c>
      <c r="H18" s="13">
        <f>VLOOKUP(LEFT(C18,1),ランク,3,0)*G18</f>
        <v>24000</v>
      </c>
      <c r="I18" s="6" t="str">
        <f t="shared" si="1"/>
        <v>ディナー券</v>
      </c>
      <c r="K18"/>
      <c r="L18"/>
      <c r="M18"/>
      <c r="N18"/>
    </row>
    <row r="19" spans="2:14" ht="13.9" customHeight="1">
      <c r="B19" s="6">
        <v>10013</v>
      </c>
      <c r="C19" s="7" t="s">
        <v>32</v>
      </c>
      <c r="D19" s="7" t="str">
        <f>VLOOKUP(LEFT(C19,1),ランク,2,0)</f>
        <v>ゴールド</v>
      </c>
      <c r="E19" s="7" t="str">
        <f>HLOOKUP(MID(C19,3,1),予約,2,0)</f>
        <v>電話予約</v>
      </c>
      <c r="F19" s="10">
        <v>45269</v>
      </c>
      <c r="G19" s="7">
        <f t="shared" si="0"/>
        <v>2</v>
      </c>
      <c r="H19" s="13">
        <f>VLOOKUP(LEFT(C19,1),ランク,3,0)*G19</f>
        <v>18000</v>
      </c>
      <c r="I19" s="6" t="str">
        <f t="shared" si="1"/>
        <v>朝食無料</v>
      </c>
      <c r="K19" s="9" t="s">
        <v>65</v>
      </c>
      <c r="L19"/>
      <c r="M19"/>
      <c r="N19"/>
    </row>
    <row r="20" spans="2:14" ht="13.9" customHeight="1">
      <c r="B20" s="6">
        <v>10014</v>
      </c>
      <c r="C20" s="7" t="s">
        <v>26</v>
      </c>
      <c r="D20" s="7" t="str">
        <f>VLOOKUP(LEFT(C20,1),ランク,2,0)</f>
        <v>シルバー</v>
      </c>
      <c r="E20" s="7" t="str">
        <f>HLOOKUP(MID(C20,3,1),予約,2,0)</f>
        <v>HP</v>
      </c>
      <c r="F20" s="10">
        <v>45269</v>
      </c>
      <c r="G20" s="7">
        <f t="shared" si="0"/>
        <v>3</v>
      </c>
      <c r="H20" s="13">
        <f>VLOOKUP(LEFT(C20,1),ランク,3,0)*G20</f>
        <v>30000</v>
      </c>
      <c r="I20" s="6" t="str">
        <f t="shared" si="1"/>
        <v>朝食無料</v>
      </c>
      <c r="K20" s="4"/>
      <c r="L20" s="4" t="s">
        <v>18</v>
      </c>
      <c r="M20" s="4" t="s">
        <v>6</v>
      </c>
      <c r="N20" s="4" t="s">
        <v>47</v>
      </c>
    </row>
    <row r="21" spans="2:14" ht="13.9" customHeight="1">
      <c r="B21" s="6">
        <v>10015</v>
      </c>
      <c r="C21" s="7" t="s">
        <v>35</v>
      </c>
      <c r="D21" s="7" t="str">
        <f>VLOOKUP(LEFT(C21,1),ランク,2,0)</f>
        <v>ゴールド</v>
      </c>
      <c r="E21" s="7" t="str">
        <f>HLOOKUP(MID(C21,3,1),予約,2,0)</f>
        <v>電話予約</v>
      </c>
      <c r="F21" s="10">
        <v>45271</v>
      </c>
      <c r="G21" s="7">
        <f t="shared" si="0"/>
        <v>2</v>
      </c>
      <c r="H21" s="13">
        <f>VLOOKUP(LEFT(C21,1),ランク,3,0)*G21</f>
        <v>18000</v>
      </c>
      <c r="I21" s="6" t="str">
        <f t="shared" si="1"/>
        <v>朝食無料</v>
      </c>
      <c r="K21" s="2">
        <v>1</v>
      </c>
      <c r="L21" s="2" t="str">
        <f>INDEX($B$7:$I$40,MATCH(LARGE($H$7:$H$40,K21),$H$7:$H$40,0),3)</f>
        <v>一般</v>
      </c>
      <c r="M21" s="2">
        <f>INDEX($B$7:$I$40,MATCH(LARGE($H$7:$H$40,K21),$H$7:$H$40,0),6)</f>
        <v>4</v>
      </c>
      <c r="N21" s="13">
        <f>INDEX($B$7:$I$40,MATCH(LARGE($H$7:$H$40,K21),$H$7:$H$40,0),7)</f>
        <v>42000</v>
      </c>
    </row>
    <row r="22" spans="2:14" ht="13.9" customHeight="1">
      <c r="B22" s="6">
        <v>10016</v>
      </c>
      <c r="C22" s="7" t="s">
        <v>41</v>
      </c>
      <c r="D22" s="7" t="str">
        <f>VLOOKUP(LEFT(C22,1),ランク,2,0)</f>
        <v>ゴールド</v>
      </c>
      <c r="E22" s="7" t="str">
        <f>HLOOKUP(MID(C22,3,1),予約,2,0)</f>
        <v>旅行サイト</v>
      </c>
      <c r="F22" s="10">
        <v>45274</v>
      </c>
      <c r="G22" s="7">
        <f t="shared" si="0"/>
        <v>2</v>
      </c>
      <c r="H22" s="13">
        <f>VLOOKUP(LEFT(C22,1),ランク,3,0)*G22</f>
        <v>18000</v>
      </c>
      <c r="I22" s="6" t="str">
        <f t="shared" si="1"/>
        <v>朝食無料</v>
      </c>
      <c r="K22" s="2">
        <v>2</v>
      </c>
      <c r="L22" s="2" t="str">
        <f t="shared" ref="L22:L23" si="5">INDEX($B$7:$I$40,MATCH(LARGE($H$7:$H$40,K22),$H$7:$H$40,0),3)</f>
        <v>一般</v>
      </c>
      <c r="M22" s="2">
        <f t="shared" ref="M22:M23" si="6">INDEX($B$7:$I$40,MATCH(LARGE($H$7:$H$40,K22),$H$7:$H$40,0),6)</f>
        <v>3</v>
      </c>
      <c r="N22" s="13">
        <f t="shared" ref="N22:N23" si="7">INDEX($B$7:$I$40,MATCH(LARGE($H$7:$H$40,K22),$H$7:$H$40,0),7)</f>
        <v>31500</v>
      </c>
    </row>
    <row r="23" spans="2:14" ht="13.9" customHeight="1">
      <c r="B23" s="6">
        <v>10017</v>
      </c>
      <c r="C23" s="7" t="s">
        <v>37</v>
      </c>
      <c r="D23" s="7" t="str">
        <f>VLOOKUP(LEFT(C23,1),ランク,2,0)</f>
        <v>ゴールド</v>
      </c>
      <c r="E23" s="7" t="str">
        <f>HLOOKUP(MID(C23,3,1),予約,2,0)</f>
        <v>旅行サイト</v>
      </c>
      <c r="F23" s="10">
        <v>45274</v>
      </c>
      <c r="G23" s="7">
        <f t="shared" si="0"/>
        <v>1</v>
      </c>
      <c r="H23" s="13">
        <f>VLOOKUP(LEFT(C23,1),ランク,3,0)*G23</f>
        <v>9000</v>
      </c>
      <c r="I23" s="6" t="str">
        <f t="shared" si="1"/>
        <v>朝食無料</v>
      </c>
      <c r="K23" s="2">
        <v>3</v>
      </c>
      <c r="L23" s="2" t="str">
        <f t="shared" si="5"/>
        <v>シルバー</v>
      </c>
      <c r="M23" s="2">
        <f t="shared" si="6"/>
        <v>3</v>
      </c>
      <c r="N23" s="13">
        <f t="shared" si="7"/>
        <v>30000</v>
      </c>
    </row>
    <row r="24" spans="2:14" ht="13.9" customHeight="1">
      <c r="B24" s="6">
        <v>10018</v>
      </c>
      <c r="C24" s="7" t="s">
        <v>38</v>
      </c>
      <c r="D24" s="7" t="str">
        <f>VLOOKUP(LEFT(C24,1),ランク,2,0)</f>
        <v>シルバー</v>
      </c>
      <c r="E24" s="7" t="str">
        <f>HLOOKUP(MID(C24,3,1),予約,2,0)</f>
        <v>電話予約</v>
      </c>
      <c r="F24" s="10">
        <v>45276</v>
      </c>
      <c r="G24" s="7">
        <f t="shared" si="0"/>
        <v>2</v>
      </c>
      <c r="H24" s="13">
        <f>VLOOKUP(LEFT(C24,1),ランク,3,0)*G24</f>
        <v>20000</v>
      </c>
      <c r="I24" s="6" t="str">
        <f t="shared" si="1"/>
        <v/>
      </c>
      <c r="K24"/>
      <c r="L24"/>
      <c r="M24"/>
      <c r="N24"/>
    </row>
    <row r="25" spans="2:14" ht="13.9" customHeight="1">
      <c r="B25" s="6">
        <v>10019</v>
      </c>
      <c r="C25" s="7" t="s">
        <v>33</v>
      </c>
      <c r="D25" s="7" t="str">
        <f>VLOOKUP(LEFT(C25,1),ランク,2,0)</f>
        <v>シルバー</v>
      </c>
      <c r="E25" s="7" t="str">
        <f>HLOOKUP(MID(C25,3,1),予約,2,0)</f>
        <v>旅行サイト</v>
      </c>
      <c r="F25" s="10">
        <v>45276</v>
      </c>
      <c r="G25" s="7">
        <f t="shared" si="0"/>
        <v>1</v>
      </c>
      <c r="H25" s="13">
        <f>VLOOKUP(LEFT(C25,1),ランク,3,0)*G25</f>
        <v>10000</v>
      </c>
      <c r="I25" s="6" t="str">
        <f t="shared" si="1"/>
        <v/>
      </c>
    </row>
    <row r="26" spans="2:14" ht="13.9" customHeight="1">
      <c r="B26" s="6">
        <v>10020</v>
      </c>
      <c r="C26" s="7" t="s">
        <v>32</v>
      </c>
      <c r="D26" s="7" t="str">
        <f>VLOOKUP(LEFT(C26,1),ランク,2,0)</f>
        <v>ゴールド</v>
      </c>
      <c r="E26" s="7" t="str">
        <f>HLOOKUP(MID(C26,3,1),予約,2,0)</f>
        <v>電話予約</v>
      </c>
      <c r="F26" s="10">
        <v>45279</v>
      </c>
      <c r="G26" s="7">
        <f t="shared" si="0"/>
        <v>2</v>
      </c>
      <c r="H26" s="13">
        <f>VLOOKUP(LEFT(C26,1),ランク,3,0)*G26</f>
        <v>18000</v>
      </c>
      <c r="I26" s="6" t="str">
        <f t="shared" si="1"/>
        <v>朝食無料</v>
      </c>
    </row>
    <row r="27" spans="2:14" ht="13.9" customHeight="1">
      <c r="B27" s="6">
        <v>10021</v>
      </c>
      <c r="C27" s="7" t="s">
        <v>22</v>
      </c>
      <c r="D27" s="7" t="str">
        <f>VLOOKUP(LEFT(C27,1),ランク,2,0)</f>
        <v>プラチナ</v>
      </c>
      <c r="E27" s="7" t="str">
        <f>HLOOKUP(MID(C27,3,1),予約,2,0)</f>
        <v>電話予約</v>
      </c>
      <c r="F27" s="10">
        <v>45280</v>
      </c>
      <c r="G27" s="7">
        <f t="shared" si="0"/>
        <v>3</v>
      </c>
      <c r="H27" s="13">
        <f>VLOOKUP(LEFT(C27,1),ランク,3,0)*G27</f>
        <v>24000</v>
      </c>
      <c r="I27" s="6" t="str">
        <f t="shared" si="1"/>
        <v>ディナー券</v>
      </c>
    </row>
    <row r="28" spans="2:14" ht="13.9" customHeight="1">
      <c r="B28" s="6">
        <v>10022</v>
      </c>
      <c r="C28" s="7" t="s">
        <v>31</v>
      </c>
      <c r="D28" s="7" t="str">
        <f>VLOOKUP(LEFT(C28,1),ランク,2,0)</f>
        <v>シルバー</v>
      </c>
      <c r="E28" s="7" t="str">
        <f>HLOOKUP(MID(C28,3,1),予約,2,0)</f>
        <v>HP</v>
      </c>
      <c r="F28" s="10">
        <v>45285</v>
      </c>
      <c r="G28" s="7">
        <f t="shared" si="0"/>
        <v>1</v>
      </c>
      <c r="H28" s="13">
        <f>VLOOKUP(LEFT(C28,1),ランク,3,0)*G28</f>
        <v>10000</v>
      </c>
      <c r="I28" s="6" t="str">
        <f t="shared" si="1"/>
        <v/>
      </c>
    </row>
    <row r="29" spans="2:14" ht="13.9" customHeight="1">
      <c r="B29" s="6">
        <v>10023</v>
      </c>
      <c r="C29" s="7" t="s">
        <v>42</v>
      </c>
      <c r="D29" s="7" t="str">
        <f>VLOOKUP(LEFT(C29,1),ランク,2,0)</f>
        <v>一般</v>
      </c>
      <c r="E29" s="7" t="str">
        <f>HLOOKUP(MID(C29,3,1),予約,2,0)</f>
        <v>電話予約</v>
      </c>
      <c r="F29" s="10">
        <v>45292</v>
      </c>
      <c r="G29" s="7">
        <f t="shared" si="0"/>
        <v>1</v>
      </c>
      <c r="H29" s="13">
        <f>VLOOKUP(LEFT(C29,1),ランク,3,0)*G29</f>
        <v>10500</v>
      </c>
      <c r="I29" s="6" t="str">
        <f t="shared" si="1"/>
        <v/>
      </c>
    </row>
    <row r="30" spans="2:14" ht="13.9" customHeight="1">
      <c r="B30" s="6">
        <v>10024</v>
      </c>
      <c r="C30" s="7" t="s">
        <v>36</v>
      </c>
      <c r="D30" s="7" t="str">
        <f>VLOOKUP(LEFT(C30,1),ランク,2,0)</f>
        <v>一般</v>
      </c>
      <c r="E30" s="7" t="str">
        <f>HLOOKUP(MID(C30,3,1),予約,2,0)</f>
        <v>HP</v>
      </c>
      <c r="F30" s="10">
        <v>45294</v>
      </c>
      <c r="G30" s="7">
        <f t="shared" si="0"/>
        <v>2</v>
      </c>
      <c r="H30" s="13">
        <f>VLOOKUP(LEFT(C30,1),ランク,3,0)*G30</f>
        <v>21000</v>
      </c>
      <c r="I30" s="6" t="str">
        <f t="shared" si="1"/>
        <v/>
      </c>
    </row>
    <row r="31" spans="2:14" ht="13.9" customHeight="1">
      <c r="B31" s="6">
        <v>10025</v>
      </c>
      <c r="C31" s="7" t="s">
        <v>30</v>
      </c>
      <c r="D31" s="7" t="str">
        <f>VLOOKUP(LEFT(C31,1),ランク,2,0)</f>
        <v>一般</v>
      </c>
      <c r="E31" s="7" t="str">
        <f>HLOOKUP(MID(C31,3,1),予約,2,0)</f>
        <v>HP</v>
      </c>
      <c r="F31" s="10">
        <v>45294</v>
      </c>
      <c r="G31" s="7">
        <f t="shared" si="0"/>
        <v>1</v>
      </c>
      <c r="H31" s="13">
        <f>VLOOKUP(LEFT(C31,1),ランク,3,0)*G31</f>
        <v>10500</v>
      </c>
      <c r="I31" s="6" t="str">
        <f t="shared" si="1"/>
        <v/>
      </c>
    </row>
    <row r="32" spans="2:14" ht="13.9" customHeight="1">
      <c r="B32" s="6">
        <v>10026</v>
      </c>
      <c r="C32" s="7" t="s">
        <v>21</v>
      </c>
      <c r="D32" s="7" t="str">
        <f>VLOOKUP(LEFT(C32,1),ランク,2,0)</f>
        <v>プラチナ</v>
      </c>
      <c r="E32" s="7" t="str">
        <f>HLOOKUP(MID(C32,3,1),予約,2,0)</f>
        <v>HP</v>
      </c>
      <c r="F32" s="10">
        <v>45295</v>
      </c>
      <c r="G32" s="7">
        <f t="shared" si="0"/>
        <v>1</v>
      </c>
      <c r="H32" s="13">
        <f>VLOOKUP(LEFT(C32,1),ランク,3,0)*G32</f>
        <v>8000</v>
      </c>
      <c r="I32" s="6" t="str">
        <f t="shared" si="1"/>
        <v/>
      </c>
    </row>
    <row r="33" spans="2:9" ht="13.9" customHeight="1">
      <c r="B33" s="6">
        <v>10027</v>
      </c>
      <c r="C33" s="7" t="s">
        <v>34</v>
      </c>
      <c r="D33" s="7" t="str">
        <f>VLOOKUP(LEFT(C33,1),ランク,2,0)</f>
        <v>一般</v>
      </c>
      <c r="E33" s="7" t="str">
        <f>HLOOKUP(MID(C33,3,1),予約,2,0)</f>
        <v>旅行サイト</v>
      </c>
      <c r="F33" s="10">
        <v>45295</v>
      </c>
      <c r="G33" s="7">
        <f t="shared" si="0"/>
        <v>1</v>
      </c>
      <c r="H33" s="13">
        <f>VLOOKUP(LEFT(C33,1),ランク,3,0)*G33</f>
        <v>10500</v>
      </c>
      <c r="I33" s="6" t="str">
        <f t="shared" si="1"/>
        <v/>
      </c>
    </row>
    <row r="34" spans="2:9" ht="13.9" customHeight="1">
      <c r="B34" s="6">
        <v>10028</v>
      </c>
      <c r="C34" s="7" t="s">
        <v>27</v>
      </c>
      <c r="D34" s="7" t="str">
        <f>VLOOKUP(LEFT(C34,1),ランク,2,0)</f>
        <v>ゴールド</v>
      </c>
      <c r="E34" s="7" t="str">
        <f>HLOOKUP(MID(C34,3,1),予約,2,0)</f>
        <v>電話予約</v>
      </c>
      <c r="F34" s="10">
        <v>45302</v>
      </c>
      <c r="G34" s="7">
        <f t="shared" si="0"/>
        <v>2</v>
      </c>
      <c r="H34" s="13">
        <f>VLOOKUP(LEFT(C34,1),ランク,3,0)*G34</f>
        <v>18000</v>
      </c>
      <c r="I34" s="6" t="str">
        <f t="shared" si="1"/>
        <v>朝食無料</v>
      </c>
    </row>
    <row r="35" spans="2:9" ht="13.9" customHeight="1">
      <c r="B35" s="6">
        <v>10029</v>
      </c>
      <c r="C35" s="7" t="s">
        <v>43</v>
      </c>
      <c r="D35" s="7" t="str">
        <f>VLOOKUP(LEFT(C35,1),ランク,2,0)</f>
        <v>シルバー</v>
      </c>
      <c r="E35" s="7" t="str">
        <f>HLOOKUP(MID(C35,3,1),予約,2,0)</f>
        <v>旅行サイト</v>
      </c>
      <c r="F35" s="10">
        <v>45308</v>
      </c>
      <c r="G35" s="7">
        <f t="shared" si="0"/>
        <v>2</v>
      </c>
      <c r="H35" s="13">
        <f>VLOOKUP(LEFT(C35,1),ランク,3,0)*G35</f>
        <v>20000</v>
      </c>
      <c r="I35" s="6" t="str">
        <f t="shared" si="1"/>
        <v/>
      </c>
    </row>
    <row r="36" spans="2:9" ht="13.9" customHeight="1">
      <c r="B36" s="6">
        <v>10030</v>
      </c>
      <c r="C36" s="7" t="s">
        <v>67</v>
      </c>
      <c r="D36" s="7" t="str">
        <f>VLOOKUP(LEFT(C36,1),ランク,2,0)</f>
        <v>シルバー</v>
      </c>
      <c r="E36" s="7" t="str">
        <f>HLOOKUP(MID(C36,3,1),予約,2,0)</f>
        <v>旅行サイト</v>
      </c>
      <c r="F36" s="10">
        <v>45317</v>
      </c>
      <c r="G36" s="7">
        <f t="shared" si="0"/>
        <v>2</v>
      </c>
      <c r="H36" s="13">
        <f>VLOOKUP(LEFT(C36,1),ランク,3,0)*G36</f>
        <v>20000</v>
      </c>
      <c r="I36" s="6" t="str">
        <f t="shared" si="1"/>
        <v/>
      </c>
    </row>
    <row r="37" spans="2:9" ht="13.9" customHeight="1">
      <c r="B37" s="6">
        <v>10031</v>
      </c>
      <c r="C37" s="7" t="s">
        <v>25</v>
      </c>
      <c r="D37" s="7" t="str">
        <f>VLOOKUP(LEFT(C37,1),ランク,2,0)</f>
        <v>一般</v>
      </c>
      <c r="E37" s="7" t="str">
        <f>HLOOKUP(MID(C37,3,1),予約,2,0)</f>
        <v>HP</v>
      </c>
      <c r="F37" s="10">
        <v>45317</v>
      </c>
      <c r="G37" s="7">
        <f t="shared" si="0"/>
        <v>4</v>
      </c>
      <c r="H37" s="13">
        <f>VLOOKUP(LEFT(C37,1),ランク,3,0)*G37</f>
        <v>42000</v>
      </c>
      <c r="I37" s="6" t="str">
        <f t="shared" si="1"/>
        <v>朝食無料</v>
      </c>
    </row>
    <row r="38" spans="2:9" ht="13.9" customHeight="1">
      <c r="B38" s="6">
        <v>10032</v>
      </c>
      <c r="C38" s="7" t="s">
        <v>33</v>
      </c>
      <c r="D38" s="7" t="str">
        <f>VLOOKUP(LEFT(C38,1),ランク,2,0)</f>
        <v>シルバー</v>
      </c>
      <c r="E38" s="7" t="str">
        <f>HLOOKUP(MID(C38,3,1),予約,2,0)</f>
        <v>旅行サイト</v>
      </c>
      <c r="F38" s="10">
        <v>45318</v>
      </c>
      <c r="G38" s="7">
        <f t="shared" si="0"/>
        <v>1</v>
      </c>
      <c r="H38" s="13">
        <f>VLOOKUP(LEFT(C38,1),ランク,3,0)*G38</f>
        <v>10000</v>
      </c>
      <c r="I38" s="6" t="str">
        <f t="shared" si="1"/>
        <v/>
      </c>
    </row>
    <row r="39" spans="2:9" ht="13.9" customHeight="1">
      <c r="B39" s="6">
        <v>10033</v>
      </c>
      <c r="C39" s="7" t="s">
        <v>44</v>
      </c>
      <c r="D39" s="7" t="str">
        <f>VLOOKUP(LEFT(C39,1),ランク,2,0)</f>
        <v>ゴールド</v>
      </c>
      <c r="E39" s="7" t="str">
        <f>HLOOKUP(MID(C39,3,1),予約,2,0)</f>
        <v>電話予約</v>
      </c>
      <c r="F39" s="10">
        <v>45319</v>
      </c>
      <c r="G39" s="7">
        <f t="shared" si="0"/>
        <v>1</v>
      </c>
      <c r="H39" s="13">
        <f>VLOOKUP(LEFT(C39,1),ランク,3,0)*G39</f>
        <v>9000</v>
      </c>
      <c r="I39" s="6" t="str">
        <f t="shared" si="1"/>
        <v>朝食無料</v>
      </c>
    </row>
    <row r="40" spans="2:9" ht="13.9" customHeight="1">
      <c r="B40" s="6">
        <v>10034</v>
      </c>
      <c r="C40" s="7" t="s">
        <v>68</v>
      </c>
      <c r="D40" s="7" t="str">
        <f>VLOOKUP(LEFT(C40,1),ランク,2,0)</f>
        <v>一般</v>
      </c>
      <c r="E40" s="7" t="str">
        <f>HLOOKUP(MID(C40,3,1),予約,2,0)</f>
        <v>HP</v>
      </c>
      <c r="F40" s="10">
        <v>45320</v>
      </c>
      <c r="G40" s="7">
        <f t="shared" si="0"/>
        <v>3</v>
      </c>
      <c r="H40" s="13">
        <f>VLOOKUP(LEFT(C40,1),ランク,3,0)*G40</f>
        <v>31500</v>
      </c>
      <c r="I40" s="6" t="str">
        <f t="shared" si="1"/>
        <v>朝食無料</v>
      </c>
    </row>
  </sheetData>
  <mergeCells count="2">
    <mergeCell ref="M3:P3"/>
    <mergeCell ref="B4:I4"/>
  </mergeCells>
  <phoneticPr fontId="1"/>
  <pageMargins left="0.7" right="0.7" top="0.75" bottom="0.75" header="0.3" footer="0.3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M38"/>
  <sheetViews>
    <sheetView workbookViewId="0">
      <selection activeCell="D5" sqref="D5:D8"/>
    </sheetView>
  </sheetViews>
  <sheetFormatPr defaultColWidth="9.125" defaultRowHeight="13.5"/>
  <cols>
    <col min="1" max="1" width="9.125" style="1"/>
    <col min="2" max="2" width="11.5" style="1" customWidth="1"/>
    <col min="3" max="4" width="10.625" style="1" customWidth="1"/>
    <col min="5" max="16384" width="9.125" style="1"/>
  </cols>
  <sheetData>
    <row r="3" spans="2:13">
      <c r="B3" s="5" t="s">
        <v>58</v>
      </c>
      <c r="C3" s="3"/>
      <c r="D3" s="3"/>
      <c r="E3" s="3"/>
      <c r="F3" s="5" t="s">
        <v>61</v>
      </c>
      <c r="G3" s="3"/>
      <c r="H3" s="3"/>
      <c r="I3" s="3"/>
    </row>
    <row r="4" spans="2:13">
      <c r="B4" s="8" t="s">
        <v>17</v>
      </c>
      <c r="C4" s="8" t="s">
        <v>18</v>
      </c>
      <c r="D4" s="8" t="s">
        <v>46</v>
      </c>
      <c r="E4" s="3"/>
      <c r="F4" s="8" t="s">
        <v>59</v>
      </c>
      <c r="G4" s="6" t="s">
        <v>1</v>
      </c>
      <c r="H4" s="6" t="s">
        <v>20</v>
      </c>
      <c r="I4" s="6" t="s">
        <v>2</v>
      </c>
    </row>
    <row r="5" spans="2:13">
      <c r="B5" s="7" t="s">
        <v>19</v>
      </c>
      <c r="C5" s="7" t="s">
        <v>13</v>
      </c>
      <c r="D5" s="7">
        <v>8000</v>
      </c>
      <c r="E5" s="3"/>
      <c r="F5" s="8" t="s">
        <v>60</v>
      </c>
      <c r="G5" s="6" t="s">
        <v>10</v>
      </c>
      <c r="H5" s="6" t="s">
        <v>11</v>
      </c>
      <c r="I5" s="6" t="s">
        <v>12</v>
      </c>
      <c r="M5"/>
    </row>
    <row r="6" spans="2:13">
      <c r="B6" s="7" t="s">
        <v>7</v>
      </c>
      <c r="C6" s="7" t="s">
        <v>14</v>
      </c>
      <c r="D6" s="7">
        <v>9000</v>
      </c>
      <c r="E6" s="3"/>
      <c r="F6" s="3"/>
      <c r="G6" s="3"/>
      <c r="H6" s="3"/>
      <c r="I6" s="3"/>
      <c r="M6"/>
    </row>
    <row r="7" spans="2:13">
      <c r="B7" s="7" t="s">
        <v>8</v>
      </c>
      <c r="C7" s="7" t="s">
        <v>15</v>
      </c>
      <c r="D7" s="7">
        <v>10000</v>
      </c>
      <c r="E7" s="3"/>
      <c r="F7" s="3"/>
      <c r="G7" s="3"/>
      <c r="H7" s="3"/>
      <c r="I7" s="3"/>
      <c r="M7"/>
    </row>
    <row r="8" spans="2:13">
      <c r="B8" s="7" t="s">
        <v>9</v>
      </c>
      <c r="C8" s="7" t="s">
        <v>16</v>
      </c>
      <c r="D8" s="7">
        <v>10500</v>
      </c>
      <c r="E8" s="3"/>
      <c r="F8" s="3"/>
      <c r="G8" s="3"/>
      <c r="H8" s="3"/>
      <c r="I8" s="3"/>
      <c r="M8"/>
    </row>
    <row r="9" spans="2:13">
      <c r="B9" s="3"/>
      <c r="C9" s="3"/>
      <c r="D9" s="3"/>
      <c r="E9" s="3"/>
      <c r="F9" s="3"/>
      <c r="G9" s="3"/>
      <c r="H9" s="3"/>
      <c r="I9" s="3"/>
      <c r="M9"/>
    </row>
    <row r="10" spans="2:13">
      <c r="B10" s="3"/>
      <c r="C10" s="3"/>
      <c r="D10" s="3"/>
      <c r="E10" s="3"/>
      <c r="F10" s="3"/>
      <c r="J10"/>
    </row>
    <row r="11" spans="2:13">
      <c r="B11" s="3"/>
      <c r="C11" s="3"/>
      <c r="D11" s="3"/>
      <c r="E11" s="3"/>
      <c r="F11" s="3"/>
      <c r="J11"/>
    </row>
    <row r="12" spans="2:13">
      <c r="B12" s="3"/>
      <c r="C12" s="3"/>
      <c r="D12" s="3"/>
      <c r="E12" s="3"/>
      <c r="F12" s="3"/>
      <c r="J12"/>
    </row>
    <row r="13" spans="2:13">
      <c r="B13" s="3"/>
      <c r="C13" s="3"/>
      <c r="D13" s="3"/>
      <c r="E13" s="3"/>
      <c r="F13" s="3"/>
      <c r="J13"/>
    </row>
    <row r="14" spans="2:13">
      <c r="B14" s="3"/>
      <c r="C14" s="3"/>
      <c r="D14" s="3"/>
      <c r="E14" s="3"/>
      <c r="F14" s="3"/>
      <c r="J14"/>
    </row>
    <row r="15" spans="2:13">
      <c r="B15" s="3"/>
      <c r="C15" s="3"/>
      <c r="D15" s="3"/>
      <c r="E15" s="3"/>
      <c r="F15" s="3"/>
      <c r="J15"/>
    </row>
    <row r="16" spans="2:13">
      <c r="B16" s="3"/>
      <c r="C16" s="3"/>
      <c r="D16" s="3"/>
      <c r="E16" s="3"/>
      <c r="F16" s="3"/>
      <c r="J16"/>
    </row>
    <row r="17" spans="2:13">
      <c r="B17"/>
      <c r="C17"/>
      <c r="D17"/>
      <c r="E17"/>
      <c r="F17"/>
      <c r="G17"/>
      <c r="H17"/>
      <c r="M17"/>
    </row>
    <row r="18" spans="2:13">
      <c r="B18"/>
      <c r="C18"/>
      <c r="D18"/>
      <c r="E18"/>
      <c r="F18"/>
      <c r="G18"/>
      <c r="H18"/>
      <c r="M18"/>
    </row>
    <row r="19" spans="2:13">
      <c r="B19"/>
      <c r="C19"/>
      <c r="D19"/>
      <c r="E19"/>
      <c r="F19"/>
      <c r="G19"/>
      <c r="H19"/>
      <c r="M19"/>
    </row>
    <row r="20" spans="2:13">
      <c r="M20"/>
    </row>
    <row r="21" spans="2:13">
      <c r="M21"/>
    </row>
    <row r="22" spans="2:13">
      <c r="M22"/>
    </row>
    <row r="23" spans="2:13">
      <c r="M23"/>
    </row>
    <row r="24" spans="2:13">
      <c r="M24"/>
    </row>
    <row r="25" spans="2:13">
      <c r="M25"/>
    </row>
    <row r="26" spans="2:13">
      <c r="M26"/>
    </row>
    <row r="27" spans="2:13">
      <c r="M27"/>
    </row>
    <row r="28" spans="2:13">
      <c r="M28"/>
    </row>
    <row r="29" spans="2:13">
      <c r="M29"/>
    </row>
    <row r="30" spans="2:13">
      <c r="M30"/>
    </row>
    <row r="31" spans="2:13">
      <c r="M31"/>
    </row>
    <row r="32" spans="2:13">
      <c r="M32"/>
    </row>
    <row r="33" spans="13:13">
      <c r="M33"/>
    </row>
    <row r="34" spans="13:13">
      <c r="M34"/>
    </row>
    <row r="35" spans="13:13">
      <c r="M35"/>
    </row>
    <row r="36" spans="13:13">
      <c r="M36"/>
    </row>
    <row r="37" spans="13:13">
      <c r="M37"/>
    </row>
    <row r="38" spans="13:13">
      <c r="M38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とりまとめ表</vt:lpstr>
      <vt:lpstr>リスト一覧</vt:lpstr>
      <vt:lpstr>ランク</vt:lpstr>
      <vt:lpstr>予約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九州文化出版</dc:creator>
  <cp:lastModifiedBy>ASUS</cp:lastModifiedBy>
  <cp:lastPrinted>2024-02-25T02:00:49Z</cp:lastPrinted>
  <dcterms:created xsi:type="dcterms:W3CDTF">2018-04-19T01:21:17Z</dcterms:created>
  <dcterms:modified xsi:type="dcterms:W3CDTF">2024-04-24T02:08:01Z</dcterms:modified>
</cp:coreProperties>
</file>